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wcopper/Desktop/CSS Portfolio/"/>
    </mc:Choice>
  </mc:AlternateContent>
  <xr:revisionPtr revIDLastSave="0" documentId="13_ncr:1_{8AC50A82-4E1A-D94A-AA39-BFF286FE11B5}" xr6:coauthVersionLast="47" xr6:coauthVersionMax="47" xr10:uidLastSave="{00000000-0000-0000-0000-000000000000}"/>
  <bookViews>
    <workbookView xWindow="8260" yWindow="500" windowWidth="14200" windowHeight="16020" xr2:uid="{00000000-000D-0000-FFFF-FFFF00000000}"/>
  </bookViews>
  <sheets>
    <sheet name="Profit and Loss by Mon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30" i="1" l="1"/>
  <c r="AD31" i="1" s="1"/>
  <c r="AD32" i="1" s="1"/>
  <c r="AE9" i="1"/>
  <c r="AE8" i="1"/>
  <c r="AE7" i="1"/>
  <c r="AE30" i="1"/>
  <c r="AF30" i="1"/>
  <c r="AD13" i="1"/>
  <c r="AD14" i="1" s="1"/>
  <c r="AE13" i="1"/>
  <c r="AF13" i="1"/>
  <c r="AF14" i="1" s="1"/>
  <c r="AE14" i="1"/>
  <c r="AC30" i="1"/>
  <c r="AC13" i="1"/>
  <c r="AC14" i="1" s="1"/>
  <c r="AB30" i="1"/>
  <c r="AB13" i="1"/>
  <c r="AB14" i="1" s="1"/>
  <c r="AB31" i="1" s="1"/>
  <c r="AB32" i="1" s="1"/>
  <c r="Z30" i="1"/>
  <c r="AA30" i="1"/>
  <c r="Z13" i="1"/>
  <c r="Z14" i="1" s="1"/>
  <c r="Z31" i="1" s="1"/>
  <c r="Z32" i="1" s="1"/>
  <c r="AA13" i="1"/>
  <c r="AA14" i="1" s="1"/>
  <c r="T30" i="1"/>
  <c r="D30" i="1"/>
  <c r="Y26" i="1"/>
  <c r="V26" i="1"/>
  <c r="U26" i="1"/>
  <c r="T26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W28" i="1"/>
  <c r="R28" i="1"/>
  <c r="Q28" i="1"/>
  <c r="K28" i="1"/>
  <c r="C28" i="1"/>
  <c r="B28" i="1"/>
  <c r="Y27" i="1"/>
  <c r="X27" i="1"/>
  <c r="W27" i="1"/>
  <c r="V27" i="1"/>
  <c r="U27" i="1"/>
  <c r="T27" i="1"/>
  <c r="S27" i="1"/>
  <c r="R27" i="1"/>
  <c r="Q27" i="1"/>
  <c r="P27" i="1"/>
  <c r="O27" i="1"/>
  <c r="N27" i="1"/>
  <c r="L27" i="1"/>
  <c r="L30" i="1"/>
  <c r="K27" i="1"/>
  <c r="J27" i="1"/>
  <c r="I27" i="1"/>
  <c r="H27" i="1"/>
  <c r="F27" i="1"/>
  <c r="E27" i="1"/>
  <c r="D27" i="1"/>
  <c r="B27" i="1"/>
  <c r="X26" i="1"/>
  <c r="W26" i="1"/>
  <c r="S26" i="1"/>
  <c r="R26" i="1"/>
  <c r="P26" i="1"/>
  <c r="N26" i="1"/>
  <c r="K26" i="1"/>
  <c r="H26" i="1"/>
  <c r="G26" i="1"/>
  <c r="F26" i="1"/>
  <c r="E26" i="1"/>
  <c r="D26" i="1"/>
  <c r="C26" i="1"/>
  <c r="M25" i="1"/>
  <c r="B25" i="1"/>
  <c r="E24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X21" i="1"/>
  <c r="W21" i="1"/>
  <c r="B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E20" i="1"/>
  <c r="M19" i="1"/>
  <c r="L19" i="1"/>
  <c r="K19" i="1"/>
  <c r="J19" i="1"/>
  <c r="I19" i="1"/>
  <c r="H19" i="1"/>
  <c r="G19" i="1"/>
  <c r="F19" i="1"/>
  <c r="E19" i="1"/>
  <c r="D19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B30" i="1"/>
  <c r="X17" i="1"/>
  <c r="W17" i="1"/>
  <c r="V17" i="1"/>
  <c r="U17" i="1"/>
  <c r="T17" i="1"/>
  <c r="S17" i="1"/>
  <c r="R17" i="1"/>
  <c r="R30" i="1"/>
  <c r="Q17" i="1"/>
  <c r="P17" i="1"/>
  <c r="O17" i="1"/>
  <c r="N17" i="1"/>
  <c r="M17" i="1"/>
  <c r="L17" i="1"/>
  <c r="K17" i="1"/>
  <c r="J17" i="1"/>
  <c r="J30" i="1"/>
  <c r="I17" i="1"/>
  <c r="H17" i="1"/>
  <c r="G17" i="1"/>
  <c r="F17" i="1"/>
  <c r="Y16" i="1"/>
  <c r="Y30" i="1"/>
  <c r="X16" i="1"/>
  <c r="X30" i="1"/>
  <c r="W16" i="1"/>
  <c r="W30" i="1"/>
  <c r="V16" i="1"/>
  <c r="V30" i="1"/>
  <c r="U16" i="1"/>
  <c r="U30" i="1"/>
  <c r="T16" i="1"/>
  <c r="S16" i="1"/>
  <c r="S30" i="1"/>
  <c r="R16" i="1"/>
  <c r="Q16" i="1"/>
  <c r="Q30" i="1"/>
  <c r="P16" i="1"/>
  <c r="P30" i="1"/>
  <c r="O16" i="1"/>
  <c r="O30" i="1"/>
  <c r="N16" i="1"/>
  <c r="N30" i="1"/>
  <c r="M16" i="1"/>
  <c r="M30" i="1"/>
  <c r="L16" i="1"/>
  <c r="K16" i="1"/>
  <c r="K30" i="1"/>
  <c r="J16" i="1"/>
  <c r="I16" i="1"/>
  <c r="I30" i="1"/>
  <c r="H16" i="1"/>
  <c r="H30" i="1"/>
  <c r="G16" i="1"/>
  <c r="G30" i="1"/>
  <c r="F16" i="1"/>
  <c r="F30" i="1"/>
  <c r="E16" i="1"/>
  <c r="E30" i="1"/>
  <c r="D16" i="1"/>
  <c r="C16" i="1"/>
  <c r="C30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V11" i="1"/>
  <c r="P11" i="1"/>
  <c r="O11" i="1"/>
  <c r="N11" i="1"/>
  <c r="M11" i="1"/>
  <c r="L11" i="1"/>
  <c r="K11" i="1"/>
  <c r="J11" i="1"/>
  <c r="I11" i="1"/>
  <c r="H11" i="1"/>
  <c r="G11" i="1"/>
  <c r="F11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N31" i="1"/>
  <c r="N32" i="1"/>
  <c r="V31" i="1"/>
  <c r="V32" i="1"/>
  <c r="J31" i="1"/>
  <c r="J32" i="1"/>
  <c r="B31" i="1"/>
  <c r="B32" i="1"/>
  <c r="I31" i="1"/>
  <c r="I32" i="1"/>
  <c r="O31" i="1"/>
  <c r="O32" i="1"/>
  <c r="P31" i="1"/>
  <c r="P32" i="1"/>
  <c r="D31" i="1"/>
  <c r="D32" i="1"/>
  <c r="C13" i="1"/>
  <c r="C14" i="1"/>
  <c r="C31" i="1"/>
  <c r="C32" i="1"/>
  <c r="K13" i="1"/>
  <c r="K14" i="1"/>
  <c r="K31" i="1"/>
  <c r="K32" i="1"/>
  <c r="J13" i="1"/>
  <c r="J14" i="1"/>
  <c r="R13" i="1"/>
  <c r="R14" i="1"/>
  <c r="R31" i="1"/>
  <c r="R32" i="1"/>
  <c r="S13" i="1"/>
  <c r="S14" i="1"/>
  <c r="S31" i="1"/>
  <c r="S32" i="1"/>
  <c r="T13" i="1"/>
  <c r="T14" i="1"/>
  <c r="T31" i="1"/>
  <c r="T32" i="1"/>
  <c r="B13" i="1"/>
  <c r="B14" i="1"/>
  <c r="N13" i="1"/>
  <c r="N14" i="1"/>
  <c r="V13" i="1"/>
  <c r="V14" i="1"/>
  <c r="L13" i="1"/>
  <c r="L14" i="1"/>
  <c r="L31" i="1"/>
  <c r="L32" i="1"/>
  <c r="D13" i="1"/>
  <c r="D14" i="1"/>
  <c r="O13" i="1"/>
  <c r="O14" i="1"/>
  <c r="X13" i="1"/>
  <c r="X14" i="1"/>
  <c r="X31" i="1"/>
  <c r="X32" i="1"/>
  <c r="G13" i="1"/>
  <c r="G14" i="1"/>
  <c r="G31" i="1"/>
  <c r="G32" i="1"/>
  <c r="I13" i="1"/>
  <c r="I14" i="1"/>
  <c r="P13" i="1"/>
  <c r="P14" i="1"/>
  <c r="W13" i="1"/>
  <c r="W14" i="1"/>
  <c r="W31" i="1"/>
  <c r="W32" i="1"/>
  <c r="H13" i="1"/>
  <c r="H14" i="1"/>
  <c r="H31" i="1"/>
  <c r="H32" i="1"/>
  <c r="Y13" i="1"/>
  <c r="Y14" i="1"/>
  <c r="Y31" i="1"/>
  <c r="Y32" i="1"/>
  <c r="Q13" i="1"/>
  <c r="Q14" i="1"/>
  <c r="Q31" i="1"/>
  <c r="Q32" i="1"/>
  <c r="E13" i="1"/>
  <c r="E14" i="1"/>
  <c r="E31" i="1"/>
  <c r="E32" i="1"/>
  <c r="M13" i="1"/>
  <c r="M14" i="1"/>
  <c r="M31" i="1"/>
  <c r="M32" i="1"/>
  <c r="U13" i="1"/>
  <c r="U14" i="1"/>
  <c r="U31" i="1"/>
  <c r="U32" i="1"/>
  <c r="F13" i="1"/>
  <c r="F14" i="1"/>
  <c r="F31" i="1"/>
  <c r="F32" i="1"/>
  <c r="AF31" i="1" l="1"/>
  <c r="AF32" i="1" s="1"/>
  <c r="AE31" i="1"/>
  <c r="AE32" i="1" s="1"/>
  <c r="AA31" i="1"/>
  <c r="AA32" i="1" s="1"/>
  <c r="AC31" i="1"/>
  <c r="AC32" i="1" s="1"/>
</calcChain>
</file>

<file path=xl/sharedStrings.xml><?xml version="1.0" encoding="utf-8"?>
<sst xmlns="http://schemas.openxmlformats.org/spreadsheetml/2006/main" count="54" uniqueCount="54">
  <si>
    <t>Jan 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</si>
  <si>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</si>
  <si>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</si>
  <si>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</si>
  <si>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</si>
  <si>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</si>
  <si>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</si>
  <si>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</si>
  <si>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</si>
  <si>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</si>
  <si>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</si>
  <si>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</si>
  <si>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</si>
  <si>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</si>
  <si>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</si>
  <si>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</si>
  <si>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</si>
  <si>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</si>
  <si>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</si>
  <si>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</si>
  <si>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</si>
  <si>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</si>
  <si>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</si>
  <si>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</si>
  <si>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Income</t>
  </si>
  <si>
    <t xml:space="preserve">   Admin Fees</t>
  </si>
  <si>
    <t xml:space="preserve">   Convenience Fees</t>
  </si>
  <si>
    <t xml:space="preserve">   Late Fees</t>
  </si>
  <si>
    <t xml:space="preserve">   Rental Income</t>
  </si>
  <si>
    <t xml:space="preserve">   Sales Tax  Payable - income</t>
  </si>
  <si>
    <t xml:space="preserve">   Tenant Insurance</t>
  </si>
  <si>
    <t>Total Income</t>
  </si>
  <si>
    <t>Gross Profit</t>
  </si>
  <si>
    <t>Expenses</t>
  </si>
  <si>
    <t xml:space="preserve">   Advertising &amp; Marketing</t>
  </si>
  <si>
    <t xml:space="preserve">   Auction Expenses</t>
  </si>
  <si>
    <t xml:space="preserve">   Bank Charges &amp; Fees</t>
  </si>
  <si>
    <t xml:space="preserve">   Cost of Tenant Insurance</t>
  </si>
  <si>
    <t xml:space="preserve">   Insurance</t>
  </si>
  <si>
    <t xml:space="preserve">   Landscaping</t>
  </si>
  <si>
    <t xml:space="preserve">   Management Fees</t>
  </si>
  <si>
    <t xml:space="preserve">   Office Supplies &amp; Software</t>
  </si>
  <si>
    <t xml:space="preserve">   Postage</t>
  </si>
  <si>
    <t xml:space="preserve">   Property Tax</t>
  </si>
  <si>
    <t xml:space="preserve">   Repairs &amp; Maintenance</t>
  </si>
  <si>
    <t xml:space="preserve">   Salary &amp; Wages</t>
  </si>
  <si>
    <t xml:space="preserve">   Travel</t>
  </si>
  <si>
    <t xml:space="preserve">   Utilities</t>
  </si>
  <si>
    <t>Total Expenses</t>
  </si>
  <si>
    <t>Net Operating Income</t>
  </si>
  <si>
    <t>Net Income</t>
  </si>
  <si>
    <t>Friday, Jan 03, 2025 11:09:21 AM GMT-8 - Accrual Basis</t>
  </si>
  <si>
    <t>Copper Storage Solutions</t>
  </si>
  <si>
    <t>Profit and Loss by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</si>
</sst>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\ _€"/>
  </numFmts>
  <fonts count="8" x14ac:knownFonts="1">
    <font>
      <sz val="11"/>
      <color indexed="8"/>
      <name val="Aptos Narrow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ptos Narrow"/>
      <family val="2"/>
      <scheme val="minor"/>
    </font>
    <font>
      <b/>
      <sz val="11"/>
      <color indexed="8"/>
      <name val="Aptos Narrow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7" fontId="1" fillId="0" borderId="1" xfId="0" applyNumberFormat="1" applyFont="1" applyBorder="1" applyAlignment="1">
      <alignment horizontal="center" wrapText="1"/>
    </xf>
    <xf numFmtId="17" fontId="7" fillId="0" borderId="1" xfId="0" applyNumberFormat="1" applyFont="1" applyBorder="1"/>
    <xf numFmtId="44" fontId="3" fillId="0" borderId="0" xfId="1" applyFont="1" applyAlignment="1">
      <alignment wrapText="1"/>
    </xf>
    <xf numFmtId="44" fontId="3" fillId="0" borderId="0" xfId="1" applyFont="1"/>
    <xf numFmtId="44" fontId="3" fillId="0" borderId="0" xfId="1" applyFont="1" applyAlignment="1">
      <alignment horizontal="right" wrapText="1"/>
    </xf>
    <xf numFmtId="44" fontId="2" fillId="0" borderId="2" xfId="1" applyFont="1" applyBorder="1" applyAlignment="1">
      <alignment horizontal="right" wrapText="1"/>
    </xf>
    <xf numFmtId="44" fontId="2" fillId="0" borderId="3" xfId="1" applyFont="1" applyBorder="1" applyAlignment="1">
      <alignment horizontal="right" wrapText="1"/>
    </xf>
    <xf numFmtId="43" fontId="3" fillId="0" borderId="0" xfId="2" applyFont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6"/>
  <sheetViews>
    <sheetView tabSelected="1" zoomScale="200" workbookViewId="0">
      <pane xSplit="1" ySplit="5" topLeftCell="AE23" activePane="bottomRight" state="frozen"/>
      <selection pane="topRight" activeCell="B1" sqref="B1"/>
      <selection pane="bottomLeft" activeCell="A6" sqref="A6"/>
      <selection pane="bottomRight" activeCell="AF30" sqref="AF30"/>
    </sheetView>
  </sheetViews>
  <sheetFormatPr baseColWidth="10" defaultColWidth="8.83203125" defaultRowHeight="15" x14ac:dyDescent="0.2"/>
  <cols>
    <col min="1" max="1" width="28.33203125" customWidth="1"/>
    <col min="2" max="2" width="11.1640625" customWidth="1"/>
    <col min="3" max="6" width="10.33203125" customWidth="1"/>
    <col min="7" max="7" width="9.5" customWidth="1"/>
    <col min="8" max="8" width="10.33203125" customWidth="1"/>
    <col min="9" max="12" width="9.5" customWidth="1"/>
    <col min="13" max="13" width="11.1640625" customWidth="1"/>
    <col min="14" max="14" width="10.33203125" customWidth="1"/>
    <col min="15" max="16" width="9.5" customWidth="1"/>
    <col min="17" max="18" width="10.33203125" customWidth="1"/>
    <col min="19" max="19" width="9.5" customWidth="1"/>
    <col min="20" max="20" width="10.33203125" customWidth="1"/>
    <col min="21" max="22" width="9.5" customWidth="1"/>
    <col min="23" max="24" width="10.33203125" customWidth="1"/>
    <col min="25" max="25" width="9.5" customWidth="1"/>
    <col min="26" max="27" width="10.1640625" bestFit="1" customWidth="1"/>
    <col min="30" max="32" width="11.1640625" bestFit="1" customWidth="1"/>
  </cols>
  <sheetData>
    <row r="1" spans="1:32" ht="18" x14ac:dyDescent="0.2">
      <c r="A1" s="15" t="s">
        <v>52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32" ht="18" x14ac:dyDescent="0.2">
      <c r="A2" s="15" t="s">
        <v>53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32" x14ac:dyDescent="0.2">
      <c r="A3" s="16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5" spans="1:32" x14ac:dyDescent="0.2">
      <c r="A5" s="1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2" t="s">
        <v>13</v>
      </c>
      <c r="P5" s="2" t="s">
        <v>14</v>
      </c>
      <c r="Q5" s="2" t="s">
        <v>15</v>
      </c>
      <c r="R5" s="2" t="s">
        <v>16</v>
      </c>
      <c r="S5" s="2" t="s">
        <v>17</v>
      </c>
      <c r="T5" s="2" t="s">
        <v>18</v>
      </c>
      <c r="U5" s="2" t="s">
        <v>19</v>
      </c>
      <c r="V5" s="2" t="s">
        <v>20</v>
      </c>
      <c r="W5" s="2" t="s">
        <v>21</v>
      </c>
      <c r="X5" s="2" t="s">
        <v>22</v>
      </c>
      <c r="Y5" s="2" t="s">
        <v>23</v>
      </c>
      <c r="Z5" s="5">
        <v>45658</v>
      </c>
      <c r="AA5" s="5">
        <v>45689</v>
      </c>
      <c r="AB5" s="6">
        <v>45717</v>
      </c>
      <c r="AC5" s="6">
        <v>45748</v>
      </c>
      <c r="AD5" s="6">
        <v>45778</v>
      </c>
      <c r="AE5" s="6">
        <v>45809</v>
      </c>
      <c r="AF5" s="6">
        <v>45839</v>
      </c>
    </row>
    <row r="6" spans="1:32" x14ac:dyDescent="0.2">
      <c r="A6" s="3" t="s">
        <v>24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  <c r="AA6" s="8"/>
      <c r="AB6" s="8"/>
      <c r="AC6" s="8"/>
    </row>
    <row r="7" spans="1:32" x14ac:dyDescent="0.2">
      <c r="A7" s="3" t="s">
        <v>25</v>
      </c>
      <c r="B7" s="9">
        <f>125</f>
        <v>125</v>
      </c>
      <c r="C7" s="9">
        <f>50</f>
        <v>50</v>
      </c>
      <c r="D7" s="9">
        <f>125</f>
        <v>125</v>
      </c>
      <c r="E7" s="9">
        <f>150</f>
        <v>150</v>
      </c>
      <c r="F7" s="9">
        <f>375</f>
        <v>375</v>
      </c>
      <c r="G7" s="9">
        <f>300</f>
        <v>300</v>
      </c>
      <c r="H7" s="9">
        <f>375</f>
        <v>375</v>
      </c>
      <c r="I7" s="9">
        <f>400</f>
        <v>400</v>
      </c>
      <c r="J7" s="9">
        <f>225</f>
        <v>225</v>
      </c>
      <c r="K7" s="9">
        <f>250</f>
        <v>250</v>
      </c>
      <c r="L7" s="9">
        <f>350</f>
        <v>350</v>
      </c>
      <c r="M7" s="9">
        <f>276.5</f>
        <v>276.5</v>
      </c>
      <c r="N7" s="9">
        <f>200</f>
        <v>200</v>
      </c>
      <c r="O7" s="9">
        <f>200</f>
        <v>200</v>
      </c>
      <c r="P7" s="9">
        <f>225</f>
        <v>225</v>
      </c>
      <c r="Q7" s="9">
        <f>75</f>
        <v>75</v>
      </c>
      <c r="R7" s="9">
        <f>175</f>
        <v>175</v>
      </c>
      <c r="S7" s="9">
        <f>200</f>
        <v>200</v>
      </c>
      <c r="T7" s="9">
        <f>225</f>
        <v>225</v>
      </c>
      <c r="U7" s="9">
        <f>150</f>
        <v>150</v>
      </c>
      <c r="V7" s="9">
        <f>225</f>
        <v>225</v>
      </c>
      <c r="W7" s="9">
        <f>250</f>
        <v>250</v>
      </c>
      <c r="X7" s="9">
        <f>150</f>
        <v>150</v>
      </c>
      <c r="Y7" s="7">
        <v>200</v>
      </c>
      <c r="Z7" s="8">
        <v>125</v>
      </c>
      <c r="AA7" s="8">
        <v>200</v>
      </c>
      <c r="AB7" s="8">
        <v>175</v>
      </c>
      <c r="AC7" s="8">
        <v>150</v>
      </c>
      <c r="AD7" s="8">
        <v>425</v>
      </c>
      <c r="AE7" s="12">
        <f>375</f>
        <v>375</v>
      </c>
      <c r="AF7" s="8">
        <v>475</v>
      </c>
    </row>
    <row r="8" spans="1:32" x14ac:dyDescent="0.2">
      <c r="A8" s="3" t="s">
        <v>26</v>
      </c>
      <c r="B8" s="9">
        <f>23.96</f>
        <v>23.96</v>
      </c>
      <c r="C8" s="9">
        <f>101.83</f>
        <v>101.83</v>
      </c>
      <c r="D8" s="9">
        <f>197.67</f>
        <v>197.67</v>
      </c>
      <c r="E8" s="9">
        <f>203.66</f>
        <v>203.66</v>
      </c>
      <c r="F8" s="9">
        <f>239.76</f>
        <v>239.76</v>
      </c>
      <c r="G8" s="9">
        <f>173.73</f>
        <v>173.73</v>
      </c>
      <c r="H8" s="9">
        <f>117.79</f>
        <v>117.79</v>
      </c>
      <c r="I8" s="9">
        <f>259.64</f>
        <v>259.64</v>
      </c>
      <c r="J8" s="9">
        <f>205.65</f>
        <v>205.65</v>
      </c>
      <c r="K8" s="9">
        <f>199.66</f>
        <v>199.66</v>
      </c>
      <c r="L8" s="9">
        <f>173.69</f>
        <v>173.69</v>
      </c>
      <c r="M8" s="9">
        <f>285.59</f>
        <v>285.58999999999997</v>
      </c>
      <c r="N8" s="9">
        <f>135.7</f>
        <v>135.69999999999999</v>
      </c>
      <c r="O8" s="9">
        <f>199.68</f>
        <v>199.68</v>
      </c>
      <c r="P8" s="9">
        <f>221.65</f>
        <v>221.65</v>
      </c>
      <c r="Q8" s="9">
        <f>119.74</f>
        <v>119.74</v>
      </c>
      <c r="R8" s="9">
        <f>75.82</f>
        <v>75.819999999999993</v>
      </c>
      <c r="S8" s="9">
        <f>157.77</f>
        <v>157.77000000000001</v>
      </c>
      <c r="T8" s="9">
        <f>107.8</f>
        <v>107.8</v>
      </c>
      <c r="U8" s="9">
        <f>229.69</f>
        <v>229.69</v>
      </c>
      <c r="V8" s="9">
        <f>95.78</f>
        <v>95.78</v>
      </c>
      <c r="W8" s="9">
        <f>181.73</f>
        <v>181.73</v>
      </c>
      <c r="X8" s="9">
        <f>51.84</f>
        <v>51.84</v>
      </c>
      <c r="Y8" s="9">
        <v>65.87</v>
      </c>
      <c r="Z8" s="8">
        <v>209.79</v>
      </c>
      <c r="AA8" s="8">
        <v>199.8</v>
      </c>
      <c r="AB8" s="8">
        <v>59.94</v>
      </c>
      <c r="AC8" s="8">
        <v>19.98</v>
      </c>
      <c r="AD8" s="8">
        <v>29.97</v>
      </c>
      <c r="AE8" s="12">
        <f>59.94</f>
        <v>59.94</v>
      </c>
      <c r="AF8" s="8">
        <v>149.85</v>
      </c>
    </row>
    <row r="9" spans="1:32" x14ac:dyDescent="0.2">
      <c r="A9" s="3" t="s">
        <v>27</v>
      </c>
      <c r="B9" s="9">
        <f>135</f>
        <v>135</v>
      </c>
      <c r="C9" s="9">
        <f>832</f>
        <v>832</v>
      </c>
      <c r="D9" s="9">
        <f>539</f>
        <v>539</v>
      </c>
      <c r="E9" s="9">
        <f>1113.4</f>
        <v>1113.4000000000001</v>
      </c>
      <c r="F9" s="9">
        <f>793.4</f>
        <v>793.4</v>
      </c>
      <c r="G9" s="9">
        <f>1561.4</f>
        <v>1561.4</v>
      </c>
      <c r="H9" s="9">
        <f>889.6</f>
        <v>889.6</v>
      </c>
      <c r="I9" s="9">
        <f>826.8</f>
        <v>826.8</v>
      </c>
      <c r="J9" s="9">
        <f>840.8</f>
        <v>840.8</v>
      </c>
      <c r="K9" s="9">
        <f>1194.34</f>
        <v>1194.3399999999999</v>
      </c>
      <c r="L9" s="9">
        <f>1177.2</f>
        <v>1177.2</v>
      </c>
      <c r="M9" s="9">
        <f>956.4</f>
        <v>956.4</v>
      </c>
      <c r="N9" s="9">
        <f>944.59</f>
        <v>944.59</v>
      </c>
      <c r="O9" s="9">
        <f>1077.8</f>
        <v>1077.8</v>
      </c>
      <c r="P9" s="9">
        <f>814.4</f>
        <v>814.4</v>
      </c>
      <c r="Q9" s="9">
        <f>638.79</f>
        <v>638.79</v>
      </c>
      <c r="R9" s="9">
        <f>1096.19</f>
        <v>1096.19</v>
      </c>
      <c r="S9" s="9">
        <f>1300</f>
        <v>1300</v>
      </c>
      <c r="T9" s="9">
        <f>1095.8</f>
        <v>1095.8</v>
      </c>
      <c r="U9" s="9">
        <f>2180.4</f>
        <v>2180.4</v>
      </c>
      <c r="V9" s="9">
        <f>1349.2</f>
        <v>1349.2</v>
      </c>
      <c r="W9" s="9">
        <f>1412.4</f>
        <v>1412.4</v>
      </c>
      <c r="X9" s="9">
        <f>742.2</f>
        <v>742.2</v>
      </c>
      <c r="Y9" s="7">
        <v>774.6</v>
      </c>
      <c r="Z9" s="8">
        <v>1214</v>
      </c>
      <c r="AA9" s="8">
        <v>756.2</v>
      </c>
      <c r="AB9" s="8">
        <v>761</v>
      </c>
      <c r="AC9" s="8">
        <v>882.4</v>
      </c>
      <c r="AD9" s="8">
        <v>497.4</v>
      </c>
      <c r="AE9" s="12">
        <f>1072.6</f>
        <v>1072.5999999999999</v>
      </c>
      <c r="AF9" s="8">
        <v>624.6</v>
      </c>
    </row>
    <row r="10" spans="1:32" x14ac:dyDescent="0.2">
      <c r="A10" s="3" t="s">
        <v>28</v>
      </c>
      <c r="B10" s="9">
        <f>14528.97</f>
        <v>14528.97</v>
      </c>
      <c r="C10" s="9">
        <f>12692.53</f>
        <v>12692.53</v>
      </c>
      <c r="D10" s="9">
        <f>11187.16</f>
        <v>11187.16</v>
      </c>
      <c r="E10" s="9">
        <f>11798.88</f>
        <v>11798.88</v>
      </c>
      <c r="F10" s="9">
        <f>12909.18</f>
        <v>12909.18</v>
      </c>
      <c r="G10" s="9">
        <f>13160.47</f>
        <v>13160.47</v>
      </c>
      <c r="H10" s="9">
        <f>12256.89</f>
        <v>12256.89</v>
      </c>
      <c r="I10" s="9">
        <f>12765.13</f>
        <v>12765.13</v>
      </c>
      <c r="J10" s="9">
        <f>12269.88</f>
        <v>12269.88</v>
      </c>
      <c r="K10" s="9">
        <f>13801.19</f>
        <v>13801.19</v>
      </c>
      <c r="L10" s="9">
        <f>11829</f>
        <v>11829</v>
      </c>
      <c r="M10" s="9">
        <f>11479.39</f>
        <v>11479.39</v>
      </c>
      <c r="N10" s="9">
        <f>13205.72</f>
        <v>13205.72</v>
      </c>
      <c r="O10" s="9">
        <f>14150.45</f>
        <v>14150.45</v>
      </c>
      <c r="P10" s="9">
        <f>13630.42</f>
        <v>13630.42</v>
      </c>
      <c r="Q10" s="9">
        <f>12893.24</f>
        <v>12893.24</v>
      </c>
      <c r="R10" s="9">
        <f>12743.81</f>
        <v>12743.81</v>
      </c>
      <c r="S10" s="9">
        <f>10900.71</f>
        <v>10900.71</v>
      </c>
      <c r="T10" s="9">
        <f>12590.23</f>
        <v>12590.23</v>
      </c>
      <c r="U10" s="9">
        <f>14476.88</f>
        <v>14476.88</v>
      </c>
      <c r="V10" s="9">
        <f>12755.6</f>
        <v>12755.6</v>
      </c>
      <c r="W10" s="9">
        <f>13508.98</f>
        <v>13508.98</v>
      </c>
      <c r="X10" s="9">
        <f>12083.22</f>
        <v>12083.22</v>
      </c>
      <c r="Y10" s="9">
        <v>13610.51</v>
      </c>
      <c r="Z10" s="8">
        <v>13782.59</v>
      </c>
      <c r="AA10" s="8">
        <v>13046.89</v>
      </c>
      <c r="AB10" s="8">
        <v>14121.7</v>
      </c>
      <c r="AC10" s="8">
        <v>12053.1</v>
      </c>
      <c r="AD10" s="8">
        <v>12096.83</v>
      </c>
      <c r="AE10" s="8">
        <v>15429.97</v>
      </c>
      <c r="AF10" s="8">
        <v>14552.29</v>
      </c>
    </row>
    <row r="11" spans="1:32" x14ac:dyDescent="0.2">
      <c r="A11" s="3" t="s">
        <v>29</v>
      </c>
      <c r="B11" s="7"/>
      <c r="C11" s="7"/>
      <c r="D11" s="7"/>
      <c r="E11" s="7"/>
      <c r="F11" s="9">
        <f>52</f>
        <v>52</v>
      </c>
      <c r="G11" s="9">
        <f>124.8</f>
        <v>124.8</v>
      </c>
      <c r="H11" s="9">
        <f>-32.8</f>
        <v>-32.799999999999997</v>
      </c>
      <c r="I11" s="9">
        <f>11.2</f>
        <v>11.2</v>
      </c>
      <c r="J11" s="9">
        <f>4.8</f>
        <v>4.8</v>
      </c>
      <c r="K11" s="9">
        <f>48</f>
        <v>48</v>
      </c>
      <c r="L11" s="9">
        <f>30.4</f>
        <v>30.4</v>
      </c>
      <c r="M11" s="9">
        <f>20.8</f>
        <v>20.8</v>
      </c>
      <c r="N11" s="9">
        <f>32</f>
        <v>32</v>
      </c>
      <c r="O11" s="9">
        <f>0.8</f>
        <v>0.8</v>
      </c>
      <c r="P11" s="9">
        <f>18.4</f>
        <v>18.399999999999999</v>
      </c>
      <c r="Q11" s="7"/>
      <c r="R11" s="7"/>
      <c r="S11" s="7"/>
      <c r="T11" s="7"/>
      <c r="U11" s="7"/>
      <c r="V11" s="9">
        <f>-51.2</f>
        <v>-51.2</v>
      </c>
      <c r="W11" s="7"/>
      <c r="X11" s="7"/>
      <c r="Y11" s="7"/>
      <c r="Z11" s="8"/>
      <c r="AA11" s="8"/>
      <c r="AB11" s="8"/>
      <c r="AC11" s="8"/>
    </row>
    <row r="12" spans="1:32" x14ac:dyDescent="0.2">
      <c r="A12" s="3" t="s">
        <v>30</v>
      </c>
      <c r="B12" s="9">
        <f>259.51</f>
        <v>259.51</v>
      </c>
      <c r="C12" s="9">
        <f>906.08</f>
        <v>906.08</v>
      </c>
      <c r="D12" s="9">
        <f>812.65</f>
        <v>812.65</v>
      </c>
      <c r="E12" s="9">
        <f>1061.22</f>
        <v>1061.22</v>
      </c>
      <c r="F12" s="9">
        <f>2355.87</f>
        <v>2355.87</v>
      </c>
      <c r="G12" s="9">
        <f>2251.3</f>
        <v>2251.3000000000002</v>
      </c>
      <c r="H12" s="9">
        <f>1796.47</f>
        <v>1796.47</v>
      </c>
      <c r="I12" s="9">
        <f>2078.94</f>
        <v>2078.94</v>
      </c>
      <c r="J12" s="9">
        <f>1910.32</f>
        <v>1910.32</v>
      </c>
      <c r="K12" s="9">
        <f>2178.49</f>
        <v>2178.4899999999998</v>
      </c>
      <c r="L12" s="9">
        <f>2070</f>
        <v>2070</v>
      </c>
      <c r="M12" s="9">
        <f>2057.27</f>
        <v>2057.27</v>
      </c>
      <c r="N12" s="9">
        <f>886.36</f>
        <v>886.36</v>
      </c>
      <c r="O12" s="9">
        <f>933.22</f>
        <v>933.22</v>
      </c>
      <c r="P12" s="9">
        <f>1111.66</f>
        <v>1111.6600000000001</v>
      </c>
      <c r="Q12" s="9">
        <f>640</f>
        <v>640</v>
      </c>
      <c r="R12" s="9">
        <f>901.68</f>
        <v>901.68</v>
      </c>
      <c r="S12" s="9">
        <f>824.3</f>
        <v>824.3</v>
      </c>
      <c r="T12" s="9">
        <f>748.1</f>
        <v>748.1</v>
      </c>
      <c r="U12" s="9">
        <f>965.08</f>
        <v>965.08</v>
      </c>
      <c r="V12" s="9">
        <f>692.2</f>
        <v>692.2</v>
      </c>
      <c r="W12" s="9">
        <f>945.54</f>
        <v>945.54</v>
      </c>
      <c r="X12" s="9">
        <f>841.9</f>
        <v>841.9</v>
      </c>
      <c r="Y12" s="9">
        <v>992.39</v>
      </c>
      <c r="Z12" s="8">
        <v>1829.65</v>
      </c>
      <c r="AA12" s="8">
        <v>1862.42</v>
      </c>
      <c r="AB12" s="8">
        <v>1863.5</v>
      </c>
      <c r="AC12" s="8">
        <v>1769</v>
      </c>
      <c r="AD12" s="8">
        <v>1095</v>
      </c>
      <c r="AE12" s="8">
        <v>2144</v>
      </c>
      <c r="AF12" s="8">
        <v>2288.04</v>
      </c>
    </row>
    <row r="13" spans="1:32" x14ac:dyDescent="0.2">
      <c r="A13" s="3" t="s">
        <v>31</v>
      </c>
      <c r="B13" s="10">
        <f t="shared" ref="B13:Y13" si="0">(((((B7)+(B8))+(B9))+(B10))+(B11))+(B12)</f>
        <v>15072.44</v>
      </c>
      <c r="C13" s="10">
        <f t="shared" si="0"/>
        <v>14582.44</v>
      </c>
      <c r="D13" s="10">
        <f t="shared" si="0"/>
        <v>12861.48</v>
      </c>
      <c r="E13" s="10">
        <f t="shared" si="0"/>
        <v>14327.159999999998</v>
      </c>
      <c r="F13" s="10">
        <f t="shared" si="0"/>
        <v>16725.21</v>
      </c>
      <c r="G13" s="10">
        <f t="shared" si="0"/>
        <v>17571.699999999997</v>
      </c>
      <c r="H13" s="10">
        <f t="shared" si="0"/>
        <v>15402.949999999999</v>
      </c>
      <c r="I13" s="10">
        <f t="shared" si="0"/>
        <v>16341.710000000001</v>
      </c>
      <c r="J13" s="10">
        <f t="shared" si="0"/>
        <v>15456.449999999997</v>
      </c>
      <c r="K13" s="10">
        <f t="shared" si="0"/>
        <v>17671.68</v>
      </c>
      <c r="L13" s="10">
        <f t="shared" si="0"/>
        <v>15630.289999999999</v>
      </c>
      <c r="M13" s="10">
        <f t="shared" si="0"/>
        <v>15075.949999999999</v>
      </c>
      <c r="N13" s="10">
        <f t="shared" si="0"/>
        <v>15404.369999999999</v>
      </c>
      <c r="O13" s="10">
        <f t="shared" si="0"/>
        <v>16561.95</v>
      </c>
      <c r="P13" s="10">
        <f t="shared" si="0"/>
        <v>16021.529999999999</v>
      </c>
      <c r="Q13" s="10">
        <f t="shared" si="0"/>
        <v>14366.77</v>
      </c>
      <c r="R13" s="10">
        <f t="shared" si="0"/>
        <v>14992.5</v>
      </c>
      <c r="S13" s="10">
        <f t="shared" si="0"/>
        <v>13382.779999999999</v>
      </c>
      <c r="T13" s="10">
        <f t="shared" si="0"/>
        <v>14766.93</v>
      </c>
      <c r="U13" s="10">
        <f t="shared" si="0"/>
        <v>18002.050000000003</v>
      </c>
      <c r="V13" s="10">
        <f t="shared" si="0"/>
        <v>15066.58</v>
      </c>
      <c r="W13" s="10">
        <f t="shared" si="0"/>
        <v>16298.650000000001</v>
      </c>
      <c r="X13" s="10">
        <f t="shared" si="0"/>
        <v>13869.16</v>
      </c>
      <c r="Y13" s="10">
        <f t="shared" si="0"/>
        <v>15643.369999999999</v>
      </c>
      <c r="Z13" s="10">
        <f t="shared" ref="Z13:AA13" si="1">(((((Z7)+(Z8))+(Z9))+(Z10))+(Z11))+(Z12)</f>
        <v>17161.030000000002</v>
      </c>
      <c r="AA13" s="10">
        <f t="shared" si="1"/>
        <v>16065.31</v>
      </c>
      <c r="AB13" s="10">
        <f t="shared" ref="AB13:AC13" si="2">(((((AB7)+(AB8))+(AB9))+(AB10))+(AB11))+(AB12)</f>
        <v>16981.14</v>
      </c>
      <c r="AC13" s="10">
        <f t="shared" si="2"/>
        <v>14874.48</v>
      </c>
      <c r="AD13" s="10">
        <f t="shared" ref="AD13:AF13" si="3">(((((AD7)+(AD8))+(AD9))+(AD10))+(AD11))+(AD12)</f>
        <v>14144.2</v>
      </c>
      <c r="AE13" s="10">
        <f t="shared" si="3"/>
        <v>19081.509999999998</v>
      </c>
      <c r="AF13" s="10">
        <f t="shared" si="3"/>
        <v>18089.780000000002</v>
      </c>
    </row>
    <row r="14" spans="1:32" x14ac:dyDescent="0.2">
      <c r="A14" s="3" t="s">
        <v>32</v>
      </c>
      <c r="B14" s="10">
        <f t="shared" ref="B14:Y14" si="4">(B13)-(0)</f>
        <v>15072.44</v>
      </c>
      <c r="C14" s="10">
        <f t="shared" si="4"/>
        <v>14582.44</v>
      </c>
      <c r="D14" s="10">
        <f t="shared" si="4"/>
        <v>12861.48</v>
      </c>
      <c r="E14" s="10">
        <f t="shared" si="4"/>
        <v>14327.159999999998</v>
      </c>
      <c r="F14" s="10">
        <f t="shared" si="4"/>
        <v>16725.21</v>
      </c>
      <c r="G14" s="10">
        <f t="shared" si="4"/>
        <v>17571.699999999997</v>
      </c>
      <c r="H14" s="10">
        <f t="shared" si="4"/>
        <v>15402.949999999999</v>
      </c>
      <c r="I14" s="10">
        <f t="shared" si="4"/>
        <v>16341.710000000001</v>
      </c>
      <c r="J14" s="10">
        <f t="shared" si="4"/>
        <v>15456.449999999997</v>
      </c>
      <c r="K14" s="10">
        <f t="shared" si="4"/>
        <v>17671.68</v>
      </c>
      <c r="L14" s="10">
        <f t="shared" si="4"/>
        <v>15630.289999999999</v>
      </c>
      <c r="M14" s="10">
        <f t="shared" si="4"/>
        <v>15075.949999999999</v>
      </c>
      <c r="N14" s="10">
        <f t="shared" si="4"/>
        <v>15404.369999999999</v>
      </c>
      <c r="O14" s="10">
        <f t="shared" si="4"/>
        <v>16561.95</v>
      </c>
      <c r="P14" s="10">
        <f t="shared" si="4"/>
        <v>16021.529999999999</v>
      </c>
      <c r="Q14" s="10">
        <f t="shared" si="4"/>
        <v>14366.77</v>
      </c>
      <c r="R14" s="10">
        <f t="shared" si="4"/>
        <v>14992.5</v>
      </c>
      <c r="S14" s="10">
        <f t="shared" si="4"/>
        <v>13382.779999999999</v>
      </c>
      <c r="T14" s="10">
        <f t="shared" si="4"/>
        <v>14766.93</v>
      </c>
      <c r="U14" s="10">
        <f t="shared" si="4"/>
        <v>18002.050000000003</v>
      </c>
      <c r="V14" s="10">
        <f t="shared" si="4"/>
        <v>15066.58</v>
      </c>
      <c r="W14" s="10">
        <f t="shared" si="4"/>
        <v>16298.650000000001</v>
      </c>
      <c r="X14" s="10">
        <f t="shared" si="4"/>
        <v>13869.16</v>
      </c>
      <c r="Y14" s="10">
        <f t="shared" si="4"/>
        <v>15643.369999999999</v>
      </c>
      <c r="Z14" s="10">
        <f t="shared" ref="Z14:AA14" si="5">(Z13)-(0)</f>
        <v>17161.030000000002</v>
      </c>
      <c r="AA14" s="10">
        <f t="shared" si="5"/>
        <v>16065.31</v>
      </c>
      <c r="AB14" s="10">
        <f t="shared" ref="AB14:AC14" si="6">(AB13)-(0)</f>
        <v>16981.14</v>
      </c>
      <c r="AC14" s="10">
        <f t="shared" si="6"/>
        <v>14874.48</v>
      </c>
      <c r="AD14" s="10">
        <f t="shared" ref="AD14:AF14" si="7">(AD13)-(0)</f>
        <v>14144.2</v>
      </c>
      <c r="AE14" s="10">
        <f t="shared" si="7"/>
        <v>19081.509999999998</v>
      </c>
      <c r="AF14" s="10">
        <f t="shared" si="7"/>
        <v>18089.780000000002</v>
      </c>
    </row>
    <row r="15" spans="1:32" x14ac:dyDescent="0.2">
      <c r="A15" s="3" t="s">
        <v>33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8"/>
      <c r="AA15" s="8"/>
      <c r="AB15" s="8"/>
      <c r="AC15" s="8"/>
    </row>
    <row r="16" spans="1:32" x14ac:dyDescent="0.2">
      <c r="A16" s="3" t="s">
        <v>34</v>
      </c>
      <c r="B16" s="7"/>
      <c r="C16" s="9">
        <f>810.83</f>
        <v>810.83</v>
      </c>
      <c r="D16" s="9">
        <f>1630.05</f>
        <v>1630.05</v>
      </c>
      <c r="E16" s="9">
        <f>1112.85</f>
        <v>1112.8499999999999</v>
      </c>
      <c r="F16" s="9">
        <f>5919.15</f>
        <v>5919.15</v>
      </c>
      <c r="G16" s="9">
        <f>1420.2</f>
        <v>1420.2</v>
      </c>
      <c r="H16" s="9">
        <f>970.91</f>
        <v>970.91</v>
      </c>
      <c r="I16" s="9">
        <f>1263.28</f>
        <v>1263.28</v>
      </c>
      <c r="J16" s="9">
        <f>1207.75</f>
        <v>1207.75</v>
      </c>
      <c r="K16" s="9">
        <f>1089.23</f>
        <v>1089.23</v>
      </c>
      <c r="L16" s="9">
        <f>783.62</f>
        <v>783.62</v>
      </c>
      <c r="M16" s="9">
        <f>768.74</f>
        <v>768.74</v>
      </c>
      <c r="N16" s="9">
        <f>770.42</f>
        <v>770.42</v>
      </c>
      <c r="O16" s="9">
        <f>1038.58</f>
        <v>1038.58</v>
      </c>
      <c r="P16" s="9">
        <f>887.98</f>
        <v>887.98</v>
      </c>
      <c r="Q16" s="9">
        <f>1164.56</f>
        <v>1164.56</v>
      </c>
      <c r="R16" s="9">
        <f>992.1</f>
        <v>992.1</v>
      </c>
      <c r="S16" s="9">
        <f>808.64</f>
        <v>808.64</v>
      </c>
      <c r="T16" s="9">
        <f>797.32</f>
        <v>797.32</v>
      </c>
      <c r="U16" s="9">
        <f>809.06</f>
        <v>809.06</v>
      </c>
      <c r="V16" s="9">
        <f>809.44</f>
        <v>809.44</v>
      </c>
      <c r="W16" s="9">
        <f>810.72</f>
        <v>810.72</v>
      </c>
      <c r="X16" s="9">
        <f>809.59</f>
        <v>809.59</v>
      </c>
      <c r="Y16" s="9">
        <f>808.5</f>
        <v>808.5</v>
      </c>
      <c r="Z16" s="8">
        <v>809.19</v>
      </c>
      <c r="AA16" s="8">
        <v>809.96</v>
      </c>
      <c r="AB16" s="8">
        <v>809.52</v>
      </c>
      <c r="AC16" s="8">
        <v>515.79999999999995</v>
      </c>
      <c r="AD16" s="8">
        <v>813.49</v>
      </c>
      <c r="AE16" s="8">
        <v>594.94000000000005</v>
      </c>
      <c r="AF16" s="8">
        <v>671.01</v>
      </c>
    </row>
    <row r="17" spans="1:32" x14ac:dyDescent="0.2">
      <c r="A17" s="3" t="s">
        <v>35</v>
      </c>
      <c r="B17" s="7"/>
      <c r="C17" s="7"/>
      <c r="D17" s="7"/>
      <c r="E17" s="7"/>
      <c r="F17" s="9">
        <f>192</f>
        <v>192</v>
      </c>
      <c r="G17" s="9">
        <f>244.4</f>
        <v>244.4</v>
      </c>
      <c r="H17" s="9">
        <f>494.8</f>
        <v>494.8</v>
      </c>
      <c r="I17" s="9">
        <f>187.1</f>
        <v>187.1</v>
      </c>
      <c r="J17" s="9">
        <f>302.1</f>
        <v>302.10000000000002</v>
      </c>
      <c r="K17" s="9">
        <f>202</f>
        <v>202</v>
      </c>
      <c r="L17" s="9">
        <f>341.1</f>
        <v>341.1</v>
      </c>
      <c r="M17" s="9">
        <f>267.1</f>
        <v>267.10000000000002</v>
      </c>
      <c r="N17" s="9">
        <f>427.1</f>
        <v>427.1</v>
      </c>
      <c r="O17" s="9">
        <f>221.1</f>
        <v>221.1</v>
      </c>
      <c r="P17" s="9">
        <f>317.1</f>
        <v>317.10000000000002</v>
      </c>
      <c r="Q17" s="9">
        <f>184.1</f>
        <v>184.1</v>
      </c>
      <c r="R17" s="9">
        <f>317.1</f>
        <v>317.10000000000002</v>
      </c>
      <c r="S17" s="9">
        <f>328.1</f>
        <v>328.1</v>
      </c>
      <c r="T17" s="9">
        <f>284.1</f>
        <v>284.10000000000002</v>
      </c>
      <c r="U17" s="9">
        <f>259.1</f>
        <v>259.10000000000002</v>
      </c>
      <c r="V17" s="9">
        <f>380.1</f>
        <v>380.1</v>
      </c>
      <c r="W17" s="9">
        <f>220.1</f>
        <v>220.1</v>
      </c>
      <c r="X17" s="9">
        <f>161.1</f>
        <v>161.1</v>
      </c>
      <c r="Y17" s="9">
        <v>227.5</v>
      </c>
      <c r="Z17" s="8">
        <v>306.10000000000002</v>
      </c>
      <c r="AA17" s="8">
        <v>326.60000000000002</v>
      </c>
      <c r="AB17" s="8">
        <v>166.5</v>
      </c>
      <c r="AC17" s="8">
        <v>189.5</v>
      </c>
      <c r="AD17" s="8">
        <v>238.5</v>
      </c>
      <c r="AE17" s="8">
        <v>194.5</v>
      </c>
      <c r="AF17" s="8">
        <v>228.5</v>
      </c>
    </row>
    <row r="18" spans="1:32" x14ac:dyDescent="0.2">
      <c r="A18" s="3" t="s">
        <v>36</v>
      </c>
      <c r="B18" s="9">
        <f>3</f>
        <v>3</v>
      </c>
      <c r="C18" s="9">
        <f>3.75</f>
        <v>3.75</v>
      </c>
      <c r="D18" s="9">
        <f>366.69</f>
        <v>366.69</v>
      </c>
      <c r="E18" s="9">
        <f>282.06</f>
        <v>282.06</v>
      </c>
      <c r="F18" s="9">
        <f>351.32</f>
        <v>351.32</v>
      </c>
      <c r="G18" s="9">
        <f>408.59</f>
        <v>408.59</v>
      </c>
      <c r="H18" s="9">
        <f>396.61</f>
        <v>396.61</v>
      </c>
      <c r="I18" s="9">
        <f>353.8</f>
        <v>353.8</v>
      </c>
      <c r="J18" s="9">
        <f>369.74</f>
        <v>369.74</v>
      </c>
      <c r="K18" s="9">
        <f>367.82</f>
        <v>367.82</v>
      </c>
      <c r="L18" s="9">
        <f>462.65</f>
        <v>462.65</v>
      </c>
      <c r="M18" s="9">
        <f>372.37</f>
        <v>372.37</v>
      </c>
      <c r="N18" s="9">
        <f>432.06</f>
        <v>432.06</v>
      </c>
      <c r="O18" s="9">
        <f>425</f>
        <v>425</v>
      </c>
      <c r="P18" s="9">
        <f>416.73</f>
        <v>416.73</v>
      </c>
      <c r="Q18" s="9">
        <f>414.17</f>
        <v>414.17</v>
      </c>
      <c r="R18" s="9">
        <f>437.56</f>
        <v>437.56</v>
      </c>
      <c r="S18" s="9">
        <f>345.23</f>
        <v>345.23</v>
      </c>
      <c r="T18" s="9">
        <f>396.54</f>
        <v>396.54</v>
      </c>
      <c r="U18" s="9">
        <f>373.85</f>
        <v>373.85</v>
      </c>
      <c r="V18" s="9">
        <f>439.93</f>
        <v>439.93</v>
      </c>
      <c r="W18" s="9">
        <f>402.37</f>
        <v>402.37</v>
      </c>
      <c r="X18" s="9">
        <f>432.02</f>
        <v>432.02</v>
      </c>
      <c r="Y18" s="9">
        <f>352.69</f>
        <v>352.69</v>
      </c>
      <c r="Z18" s="8">
        <v>408.69</v>
      </c>
      <c r="AA18" s="8">
        <v>433.44</v>
      </c>
      <c r="AB18" s="8">
        <v>376.9</v>
      </c>
      <c r="AC18" s="8">
        <v>430.96</v>
      </c>
      <c r="AD18" s="8">
        <v>379.61</v>
      </c>
      <c r="AE18" s="8">
        <v>406.28</v>
      </c>
      <c r="AF18" s="8">
        <v>423.35</v>
      </c>
    </row>
    <row r="19" spans="1:32" x14ac:dyDescent="0.2">
      <c r="A19" s="3" t="s">
        <v>37</v>
      </c>
      <c r="B19" s="7"/>
      <c r="C19" s="7"/>
      <c r="D19" s="9">
        <f>21.48</f>
        <v>21.48</v>
      </c>
      <c r="E19" s="9">
        <f>62.32</f>
        <v>62.32</v>
      </c>
      <c r="F19" s="9">
        <f>573.21</f>
        <v>573.21</v>
      </c>
      <c r="G19" s="9">
        <f>1177.93</f>
        <v>1177.93</v>
      </c>
      <c r="H19" s="9">
        <f>1062.92</f>
        <v>1062.92</v>
      </c>
      <c r="I19" s="9">
        <f>961.06</f>
        <v>961.06</v>
      </c>
      <c r="J19" s="9">
        <f>1039.46</f>
        <v>1039.46</v>
      </c>
      <c r="K19" s="9">
        <f>955.16</f>
        <v>955.16</v>
      </c>
      <c r="L19" s="9">
        <f>1089.24</f>
        <v>1089.24</v>
      </c>
      <c r="M19" s="9">
        <f>1035</f>
        <v>1035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8">
        <v>923.2</v>
      </c>
      <c r="AA19" s="8">
        <v>914.82</v>
      </c>
      <c r="AB19" s="8">
        <v>931.2</v>
      </c>
      <c r="AC19" s="8">
        <v>931.75</v>
      </c>
      <c r="AD19" s="8">
        <v>884.5</v>
      </c>
      <c r="AE19" s="8">
        <v>1047.5</v>
      </c>
      <c r="AF19" s="8">
        <v>1072</v>
      </c>
    </row>
    <row r="20" spans="1:32" x14ac:dyDescent="0.2">
      <c r="A20" s="3" t="s">
        <v>38</v>
      </c>
      <c r="B20" s="7"/>
      <c r="C20" s="7"/>
      <c r="D20" s="7"/>
      <c r="E20" s="9">
        <f>3124.04</f>
        <v>3124.04</v>
      </c>
      <c r="F20" s="7"/>
      <c r="G20" s="7"/>
      <c r="H20" s="7"/>
      <c r="I20" s="9">
        <f>557.23</f>
        <v>557.23</v>
      </c>
      <c r="J20" s="9">
        <f t="shared" ref="J20:S20" si="8">533.15</f>
        <v>533.15</v>
      </c>
      <c r="K20" s="9">
        <f t="shared" si="8"/>
        <v>533.15</v>
      </c>
      <c r="L20" s="9">
        <f t="shared" si="8"/>
        <v>533.15</v>
      </c>
      <c r="M20" s="9">
        <f t="shared" si="8"/>
        <v>533.15</v>
      </c>
      <c r="N20" s="9">
        <f t="shared" si="8"/>
        <v>533.15</v>
      </c>
      <c r="O20" s="9">
        <f t="shared" si="8"/>
        <v>533.15</v>
      </c>
      <c r="P20" s="9">
        <f t="shared" si="8"/>
        <v>533.15</v>
      </c>
      <c r="Q20" s="9">
        <f t="shared" si="8"/>
        <v>533.15</v>
      </c>
      <c r="R20" s="9">
        <f t="shared" si="8"/>
        <v>533.15</v>
      </c>
      <c r="S20" s="9">
        <f t="shared" si="8"/>
        <v>533.15</v>
      </c>
      <c r="T20" s="9">
        <f>0</f>
        <v>0</v>
      </c>
      <c r="U20" s="9">
        <f>612.95</f>
        <v>612.95000000000005</v>
      </c>
      <c r="V20" s="9">
        <f>580.87</f>
        <v>580.87</v>
      </c>
      <c r="W20" s="9">
        <f>580.87</f>
        <v>580.87</v>
      </c>
      <c r="X20" s="9">
        <f>580.87</f>
        <v>580.87</v>
      </c>
      <c r="Y20" s="9">
        <f>580.87</f>
        <v>580.87</v>
      </c>
      <c r="Z20" s="8">
        <v>580.87</v>
      </c>
      <c r="AA20" s="8">
        <v>580.87</v>
      </c>
      <c r="AB20" s="8">
        <v>580.87</v>
      </c>
      <c r="AC20" s="8">
        <v>580.87</v>
      </c>
      <c r="AD20" s="8">
        <v>580.87</v>
      </c>
      <c r="AE20" s="8">
        <v>580.87</v>
      </c>
      <c r="AF20" s="8"/>
    </row>
    <row r="21" spans="1:32" x14ac:dyDescent="0.2">
      <c r="A21" s="3" t="s">
        <v>39</v>
      </c>
      <c r="B21" s="9">
        <f>500</f>
        <v>500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9">
        <f>830</f>
        <v>830</v>
      </c>
      <c r="X21" s="9">
        <f>170</f>
        <v>170</v>
      </c>
      <c r="Y21" s="9">
        <v>520</v>
      </c>
      <c r="Z21" s="8">
        <v>500</v>
      </c>
      <c r="AA21" s="8">
        <v>155</v>
      </c>
      <c r="AB21" s="8">
        <v>845</v>
      </c>
      <c r="AC21" s="8">
        <v>500</v>
      </c>
      <c r="AD21" s="8">
        <v>500</v>
      </c>
      <c r="AE21" s="8">
        <v>500</v>
      </c>
      <c r="AF21" s="8">
        <v>500</v>
      </c>
    </row>
    <row r="22" spans="1:32" x14ac:dyDescent="0.2">
      <c r="A22" s="3" t="s">
        <v>40</v>
      </c>
      <c r="B22" s="7"/>
      <c r="C22" s="9">
        <f>500</f>
        <v>500</v>
      </c>
      <c r="D22" s="9">
        <f>500</f>
        <v>500</v>
      </c>
      <c r="E22" s="9">
        <f>500</f>
        <v>500</v>
      </c>
      <c r="F22" s="9">
        <f>500</f>
        <v>500</v>
      </c>
      <c r="G22" s="9">
        <f>500</f>
        <v>500</v>
      </c>
      <c r="H22" s="9">
        <f>500</f>
        <v>500</v>
      </c>
      <c r="I22" s="9">
        <f>500</f>
        <v>500</v>
      </c>
      <c r="J22" s="9">
        <f>500</f>
        <v>500</v>
      </c>
      <c r="K22" s="9">
        <f>500</f>
        <v>500</v>
      </c>
      <c r="L22" s="9">
        <f>500</f>
        <v>500</v>
      </c>
      <c r="M22" s="9">
        <f>500</f>
        <v>500</v>
      </c>
      <c r="N22" s="9">
        <f>1264</f>
        <v>1264</v>
      </c>
      <c r="O22" s="9">
        <f>1253.5</f>
        <v>1253.5</v>
      </c>
      <c r="P22" s="9">
        <f>1253.5</f>
        <v>1253.5</v>
      </c>
      <c r="Q22" s="9">
        <f>1303.5</f>
        <v>1303.5</v>
      </c>
      <c r="R22" s="9">
        <f>1303.5</f>
        <v>1303.5</v>
      </c>
      <c r="S22" s="9">
        <f>1294.5</f>
        <v>1294.5</v>
      </c>
      <c r="T22" s="9">
        <f>1278</f>
        <v>1278</v>
      </c>
      <c r="U22" s="9">
        <f>1278</f>
        <v>1278</v>
      </c>
      <c r="V22" s="9">
        <f>1214.25</f>
        <v>1214.25</v>
      </c>
      <c r="W22" s="9">
        <f>1264.5</f>
        <v>1264.5</v>
      </c>
      <c r="X22" s="9">
        <f>1214.25</f>
        <v>1214.25</v>
      </c>
      <c r="Y22" s="9">
        <f>1050</f>
        <v>1050</v>
      </c>
      <c r="Z22" s="8">
        <v>1384.13</v>
      </c>
      <c r="AA22" s="8">
        <v>1218.75</v>
      </c>
      <c r="AB22" s="8">
        <v>1213.5</v>
      </c>
      <c r="AC22" s="8">
        <v>1230</v>
      </c>
      <c r="AD22" s="8">
        <v>1275</v>
      </c>
      <c r="AE22" s="8">
        <v>1278</v>
      </c>
      <c r="AF22" s="8">
        <v>1303.5</v>
      </c>
    </row>
    <row r="23" spans="1:32" x14ac:dyDescent="0.2">
      <c r="A23" s="3" t="s">
        <v>41</v>
      </c>
      <c r="B23" s="9">
        <f>1961.75</f>
        <v>1961.75</v>
      </c>
      <c r="C23" s="9">
        <f>461.84</f>
        <v>461.84</v>
      </c>
      <c r="D23" s="9">
        <f>422.94</f>
        <v>422.94</v>
      </c>
      <c r="E23" s="9">
        <f>77.25</f>
        <v>77.25</v>
      </c>
      <c r="F23" s="9">
        <f>427.84</f>
        <v>427.84</v>
      </c>
      <c r="G23" s="9">
        <f>1537.65</f>
        <v>1537.65</v>
      </c>
      <c r="H23" s="9">
        <f>302.24</f>
        <v>302.24</v>
      </c>
      <c r="I23" s="9">
        <f>351.24</f>
        <v>351.24</v>
      </c>
      <c r="J23" s="9">
        <f>201.45</f>
        <v>201.45</v>
      </c>
      <c r="K23" s="9">
        <f>283.25</f>
        <v>283.25</v>
      </c>
      <c r="L23" s="9">
        <f>260.42</f>
        <v>260.42</v>
      </c>
      <c r="M23" s="9">
        <f>201.45</f>
        <v>201.45</v>
      </c>
      <c r="N23" s="9">
        <f>298.44</f>
        <v>298.44</v>
      </c>
      <c r="O23" s="9">
        <f>252.04</f>
        <v>252.04</v>
      </c>
      <c r="P23" s="9">
        <f>238.44</f>
        <v>238.44</v>
      </c>
      <c r="Q23" s="9">
        <f>244.84</f>
        <v>244.84</v>
      </c>
      <c r="R23" s="9">
        <f>237.64</f>
        <v>237.64</v>
      </c>
      <c r="S23" s="9">
        <f>272.04</f>
        <v>272.04000000000002</v>
      </c>
      <c r="T23" s="9">
        <f>253.64</f>
        <v>253.64</v>
      </c>
      <c r="U23" s="9">
        <f>239.24</f>
        <v>239.24</v>
      </c>
      <c r="V23" s="9">
        <f>237.64</f>
        <v>237.64</v>
      </c>
      <c r="W23" s="9">
        <f>-54.01</f>
        <v>-54.01</v>
      </c>
      <c r="X23" s="9">
        <f>237.64</f>
        <v>237.64</v>
      </c>
      <c r="Y23" s="9">
        <f>237.64</f>
        <v>237.64</v>
      </c>
      <c r="Z23" s="8">
        <v>237.64</v>
      </c>
      <c r="AA23" s="8">
        <v>256.64999999999998</v>
      </c>
      <c r="AB23" s="8">
        <v>256.64999999999998</v>
      </c>
      <c r="AC23" s="8">
        <v>256.64999999999998</v>
      </c>
      <c r="AD23" s="8">
        <v>256.64999999999998</v>
      </c>
      <c r="AE23" s="8">
        <v>256.64999999999998</v>
      </c>
      <c r="AF23" s="8">
        <v>256.64999999999998</v>
      </c>
    </row>
    <row r="24" spans="1:32" x14ac:dyDescent="0.2">
      <c r="A24" s="3" t="s">
        <v>42</v>
      </c>
      <c r="B24" s="7"/>
      <c r="C24" s="7"/>
      <c r="D24" s="7"/>
      <c r="E24" s="9">
        <f>42.6</f>
        <v>42.6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8"/>
      <c r="AA24" s="8"/>
      <c r="AB24" s="8"/>
      <c r="AC24" s="8"/>
    </row>
    <row r="25" spans="1:32" x14ac:dyDescent="0.2">
      <c r="A25" s="3" t="s">
        <v>43</v>
      </c>
      <c r="B25" s="9">
        <f>-719.4</f>
        <v>-719.4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9">
        <f>6259.7</f>
        <v>6259.7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8"/>
      <c r="AA25" s="8"/>
      <c r="AB25" s="8"/>
      <c r="AC25" s="8"/>
      <c r="AF25" s="8">
        <v>10973.65</v>
      </c>
    </row>
    <row r="26" spans="1:32" x14ac:dyDescent="0.2">
      <c r="A26" s="3" t="s">
        <v>44</v>
      </c>
      <c r="B26" s="7"/>
      <c r="C26" s="9">
        <f>2157.5</f>
        <v>2157.5</v>
      </c>
      <c r="D26" s="9">
        <f>833.37</f>
        <v>833.37</v>
      </c>
      <c r="E26" s="9">
        <f>694.8</f>
        <v>694.8</v>
      </c>
      <c r="F26" s="9">
        <f>164.24</f>
        <v>164.24</v>
      </c>
      <c r="G26" s="9">
        <f>1948.06</f>
        <v>1948.06</v>
      </c>
      <c r="H26" s="9">
        <f>655.62</f>
        <v>655.62</v>
      </c>
      <c r="I26" s="7"/>
      <c r="J26" s="7"/>
      <c r="K26" s="9">
        <f>295.39</f>
        <v>295.39</v>
      </c>
      <c r="L26" s="7"/>
      <c r="M26" s="7"/>
      <c r="N26" s="9">
        <f>1313.27</f>
        <v>1313.27</v>
      </c>
      <c r="O26" s="7"/>
      <c r="P26" s="9">
        <f>785.71</f>
        <v>785.71</v>
      </c>
      <c r="Q26" s="7"/>
      <c r="R26" s="9">
        <f>1250</f>
        <v>1250</v>
      </c>
      <c r="S26" s="9">
        <f>1230.32</f>
        <v>1230.32</v>
      </c>
      <c r="T26" s="9">
        <f>1579</f>
        <v>1579</v>
      </c>
      <c r="U26" s="9">
        <f>448.5</f>
        <v>448.5</v>
      </c>
      <c r="V26" s="9">
        <f>419.28</f>
        <v>419.28</v>
      </c>
      <c r="W26" s="9">
        <f>591.16</f>
        <v>591.16</v>
      </c>
      <c r="X26" s="9">
        <f>362.4</f>
        <v>362.4</v>
      </c>
      <c r="Y26" s="9">
        <f>523.74</f>
        <v>523.74</v>
      </c>
      <c r="Z26" s="8">
        <v>247.99</v>
      </c>
      <c r="AA26" s="8">
        <v>505.1</v>
      </c>
      <c r="AB26" s="8">
        <v>490</v>
      </c>
      <c r="AC26" s="8">
        <v>223.91</v>
      </c>
      <c r="AD26" s="8">
        <v>515</v>
      </c>
      <c r="AE26" s="8">
        <v>572.5</v>
      </c>
      <c r="AF26" s="8">
        <v>694.01</v>
      </c>
    </row>
    <row r="27" spans="1:32" x14ac:dyDescent="0.2">
      <c r="A27" s="3" t="s">
        <v>45</v>
      </c>
      <c r="B27" s="9">
        <f>600</f>
        <v>600</v>
      </c>
      <c r="C27" s="7"/>
      <c r="D27" s="9">
        <f>1100</f>
        <v>1100</v>
      </c>
      <c r="E27" s="9">
        <f>1100</f>
        <v>1100</v>
      </c>
      <c r="F27" s="9">
        <f>2200</f>
        <v>2200</v>
      </c>
      <c r="G27" s="7"/>
      <c r="H27" s="9">
        <f>2200</f>
        <v>2200</v>
      </c>
      <c r="I27" s="9">
        <f>1100</f>
        <v>1100</v>
      </c>
      <c r="J27" s="9">
        <f>1100</f>
        <v>1100</v>
      </c>
      <c r="K27" s="9">
        <f>1100</f>
        <v>1100</v>
      </c>
      <c r="L27" s="9">
        <f>1100</f>
        <v>1100</v>
      </c>
      <c r="M27" s="7"/>
      <c r="N27" s="9">
        <f>2200</f>
        <v>2200</v>
      </c>
      <c r="O27" s="9">
        <f>1100</f>
        <v>1100</v>
      </c>
      <c r="P27" s="9">
        <f>1100</f>
        <v>1100</v>
      </c>
      <c r="Q27" s="9">
        <f>600</f>
        <v>600</v>
      </c>
      <c r="R27" s="9">
        <f>1200</f>
        <v>1200</v>
      </c>
      <c r="S27" s="9">
        <f>0</f>
        <v>0</v>
      </c>
      <c r="T27" s="9">
        <f>600</f>
        <v>600</v>
      </c>
      <c r="U27" s="9">
        <f>600</f>
        <v>600</v>
      </c>
      <c r="V27" s="9">
        <f>600</f>
        <v>600</v>
      </c>
      <c r="W27" s="9">
        <f>600</f>
        <v>600</v>
      </c>
      <c r="X27" s="9">
        <f>600</f>
        <v>600</v>
      </c>
      <c r="Y27" s="9">
        <f>600</f>
        <v>600</v>
      </c>
      <c r="Z27" s="8">
        <v>600</v>
      </c>
      <c r="AA27" s="8">
        <v>600</v>
      </c>
      <c r="AB27" s="8">
        <v>600</v>
      </c>
      <c r="AC27" s="8">
        <v>600</v>
      </c>
      <c r="AD27" s="8">
        <v>600</v>
      </c>
      <c r="AE27" s="8">
        <v>600</v>
      </c>
      <c r="AF27" s="8">
        <v>600</v>
      </c>
    </row>
    <row r="28" spans="1:32" x14ac:dyDescent="0.2">
      <c r="A28" s="3" t="s">
        <v>46</v>
      </c>
      <c r="B28" s="9">
        <f>790.92</f>
        <v>790.92</v>
      </c>
      <c r="C28" s="9">
        <f>1956.65</f>
        <v>1956.65</v>
      </c>
      <c r="D28" s="7"/>
      <c r="E28" s="7"/>
      <c r="F28" s="7"/>
      <c r="G28" s="7"/>
      <c r="H28" s="7"/>
      <c r="I28" s="7"/>
      <c r="J28" s="7"/>
      <c r="K28" s="9">
        <f>508.76</f>
        <v>508.76</v>
      </c>
      <c r="L28" s="7"/>
      <c r="M28" s="7"/>
      <c r="N28" s="7"/>
      <c r="O28" s="7"/>
      <c r="P28" s="7"/>
      <c r="Q28" s="9">
        <f>174.25</f>
        <v>174.25</v>
      </c>
      <c r="R28" s="9">
        <f>645.44</f>
        <v>645.44000000000005</v>
      </c>
      <c r="S28" s="7"/>
      <c r="T28" s="7"/>
      <c r="U28" s="7"/>
      <c r="V28" s="7"/>
      <c r="W28" s="9">
        <f>178.91</f>
        <v>178.91</v>
      </c>
      <c r="X28" s="7"/>
      <c r="Y28" s="7"/>
      <c r="Z28" s="8"/>
      <c r="AA28" s="8"/>
      <c r="AB28" s="8"/>
      <c r="AC28" s="8"/>
      <c r="AD28" s="8">
        <v>897.63</v>
      </c>
    </row>
    <row r="29" spans="1:32" x14ac:dyDescent="0.2">
      <c r="A29" s="3" t="s">
        <v>47</v>
      </c>
      <c r="B29" s="7"/>
      <c r="C29" s="9">
        <f>72.49</f>
        <v>72.489999999999995</v>
      </c>
      <c r="D29" s="9">
        <f>814.07</f>
        <v>814.07</v>
      </c>
      <c r="E29" s="9">
        <f>241.47</f>
        <v>241.47</v>
      </c>
      <c r="F29" s="9">
        <f>526.07</f>
        <v>526.07000000000005</v>
      </c>
      <c r="G29" s="9">
        <f>819.62</f>
        <v>819.62</v>
      </c>
      <c r="H29" s="9">
        <f>255.78</f>
        <v>255.78</v>
      </c>
      <c r="I29" s="9">
        <f>841.98</f>
        <v>841.98</v>
      </c>
      <c r="J29" s="9">
        <f>260.87</f>
        <v>260.87</v>
      </c>
      <c r="K29" s="9">
        <f>847.16</f>
        <v>847.16</v>
      </c>
      <c r="L29" s="9">
        <f>549.86</f>
        <v>549.86</v>
      </c>
      <c r="M29" s="9">
        <f>202.89</f>
        <v>202.89</v>
      </c>
      <c r="N29" s="9">
        <f>845.21</f>
        <v>845.21</v>
      </c>
      <c r="O29" s="9">
        <f>553.38</f>
        <v>553.38</v>
      </c>
      <c r="P29" s="9">
        <f>552.18</f>
        <v>552.17999999999995</v>
      </c>
      <c r="Q29" s="9">
        <f>552.96</f>
        <v>552.96</v>
      </c>
      <c r="R29" s="9">
        <f>552.68</f>
        <v>552.67999999999995</v>
      </c>
      <c r="S29" s="9">
        <f>263.19</f>
        <v>263.19</v>
      </c>
      <c r="T29" s="9">
        <f>856.96</f>
        <v>856.96</v>
      </c>
      <c r="U29" s="9">
        <f>875.28</f>
        <v>875.28</v>
      </c>
      <c r="V29" s="9">
        <f>507.58</f>
        <v>507.58</v>
      </c>
      <c r="W29" s="9">
        <f>608.26</f>
        <v>608.26</v>
      </c>
      <c r="X29" s="9">
        <f>503.99</f>
        <v>503.99</v>
      </c>
      <c r="Y29" s="9">
        <f>556.77</f>
        <v>556.77</v>
      </c>
      <c r="Z29" s="8">
        <v>609.45000000000005</v>
      </c>
      <c r="AA29" s="8">
        <v>558.26</v>
      </c>
      <c r="AB29" s="8">
        <v>559.83000000000004</v>
      </c>
      <c r="AC29" s="8">
        <v>559.21</v>
      </c>
      <c r="AD29" s="8">
        <v>262.04000000000002</v>
      </c>
      <c r="AE29" s="8">
        <v>560.02</v>
      </c>
      <c r="AF29" s="8">
        <v>619.38</v>
      </c>
    </row>
    <row r="30" spans="1:32" x14ac:dyDescent="0.2">
      <c r="A30" s="3" t="s">
        <v>48</v>
      </c>
      <c r="B30" s="10">
        <f t="shared" ref="B30:Y30" si="9">SUM(B16:B29)</f>
        <v>3136.27</v>
      </c>
      <c r="C30" s="10">
        <f t="shared" si="9"/>
        <v>5963.0599999999995</v>
      </c>
      <c r="D30" s="10">
        <f t="shared" si="9"/>
        <v>5688.6</v>
      </c>
      <c r="E30" s="10">
        <f t="shared" si="9"/>
        <v>7237.39</v>
      </c>
      <c r="F30" s="10">
        <f t="shared" si="9"/>
        <v>10853.829999999998</v>
      </c>
      <c r="G30" s="10">
        <f t="shared" si="9"/>
        <v>8056.45</v>
      </c>
      <c r="H30" s="10">
        <f t="shared" si="9"/>
        <v>6838.88</v>
      </c>
      <c r="I30" s="10">
        <f t="shared" si="9"/>
        <v>6115.6900000000005</v>
      </c>
      <c r="J30" s="10">
        <f t="shared" si="9"/>
        <v>5514.52</v>
      </c>
      <c r="K30" s="10">
        <f t="shared" si="9"/>
        <v>6681.92</v>
      </c>
      <c r="L30" s="10">
        <f t="shared" si="9"/>
        <v>5620.04</v>
      </c>
      <c r="M30" s="10">
        <f t="shared" si="9"/>
        <v>10140.4</v>
      </c>
      <c r="N30" s="10">
        <f t="shared" si="9"/>
        <v>8083.6500000000005</v>
      </c>
      <c r="O30" s="10">
        <f t="shared" si="9"/>
        <v>5376.75</v>
      </c>
      <c r="P30" s="10">
        <f t="shared" si="9"/>
        <v>6084.7900000000009</v>
      </c>
      <c r="Q30" s="10">
        <f t="shared" si="9"/>
        <v>5171.53</v>
      </c>
      <c r="R30" s="10">
        <f t="shared" si="9"/>
        <v>7469.17</v>
      </c>
      <c r="S30" s="10">
        <f t="shared" si="9"/>
        <v>5075.1699999999992</v>
      </c>
      <c r="T30" s="10">
        <f t="shared" si="9"/>
        <v>6045.56</v>
      </c>
      <c r="U30" s="10">
        <f t="shared" si="9"/>
        <v>5495.98</v>
      </c>
      <c r="V30" s="10">
        <f t="shared" si="9"/>
        <v>5189.09</v>
      </c>
      <c r="W30" s="10">
        <f t="shared" si="9"/>
        <v>6032.8799999999992</v>
      </c>
      <c r="X30" s="10">
        <f t="shared" si="9"/>
        <v>5071.8599999999997</v>
      </c>
      <c r="Y30" s="10">
        <f t="shared" si="9"/>
        <v>5457.7099999999991</v>
      </c>
      <c r="Z30" s="10">
        <f t="shared" ref="Z30:AA30" si="10">SUM(Z16:Z29)</f>
        <v>6607.26</v>
      </c>
      <c r="AA30" s="10">
        <f t="shared" si="10"/>
        <v>6359.4500000000007</v>
      </c>
      <c r="AB30" s="10">
        <f t="shared" ref="AB30:AC30" si="11">SUM(AB16:AB29)</f>
        <v>6829.9699999999993</v>
      </c>
      <c r="AC30" s="10">
        <f t="shared" si="11"/>
        <v>6018.65</v>
      </c>
      <c r="AD30" s="10">
        <f t="shared" ref="AD30" si="12">SUM(AD16:AD29)</f>
        <v>7203.2899999999991</v>
      </c>
      <c r="AE30" s="10">
        <f t="shared" ref="AE30:AF30" si="13">SUM(AE16:AE29)</f>
        <v>6591.26</v>
      </c>
      <c r="AF30" s="10">
        <f t="shared" si="13"/>
        <v>17342.05</v>
      </c>
    </row>
    <row r="31" spans="1:32" x14ac:dyDescent="0.2">
      <c r="A31" s="3" t="s">
        <v>49</v>
      </c>
      <c r="B31" s="10">
        <f t="shared" ref="B31:Y31" si="14">(B14)-(B30)</f>
        <v>11936.17</v>
      </c>
      <c r="C31" s="10">
        <f t="shared" si="14"/>
        <v>8619.380000000001</v>
      </c>
      <c r="D31" s="10">
        <f t="shared" si="14"/>
        <v>7172.8799999999992</v>
      </c>
      <c r="E31" s="10">
        <f t="shared" si="14"/>
        <v>7089.7699999999977</v>
      </c>
      <c r="F31" s="10">
        <f t="shared" si="14"/>
        <v>5871.380000000001</v>
      </c>
      <c r="G31" s="10">
        <f t="shared" si="14"/>
        <v>9515.2499999999964</v>
      </c>
      <c r="H31" s="10">
        <f t="shared" si="14"/>
        <v>8564.07</v>
      </c>
      <c r="I31" s="10">
        <f t="shared" si="14"/>
        <v>10226.02</v>
      </c>
      <c r="J31" s="10">
        <f t="shared" si="14"/>
        <v>9941.9299999999967</v>
      </c>
      <c r="K31" s="10">
        <f t="shared" si="14"/>
        <v>10989.76</v>
      </c>
      <c r="L31" s="10">
        <f t="shared" si="14"/>
        <v>10010.25</v>
      </c>
      <c r="M31" s="10">
        <f t="shared" si="14"/>
        <v>4935.5499999999993</v>
      </c>
      <c r="N31" s="10">
        <f t="shared" si="14"/>
        <v>7320.7199999999984</v>
      </c>
      <c r="O31" s="10">
        <f t="shared" si="14"/>
        <v>11185.2</v>
      </c>
      <c r="P31" s="10">
        <f t="shared" si="14"/>
        <v>9936.739999999998</v>
      </c>
      <c r="Q31" s="10">
        <f t="shared" si="14"/>
        <v>9195.2400000000016</v>
      </c>
      <c r="R31" s="10">
        <f t="shared" si="14"/>
        <v>7523.33</v>
      </c>
      <c r="S31" s="10">
        <f t="shared" si="14"/>
        <v>8307.61</v>
      </c>
      <c r="T31" s="10">
        <f t="shared" si="14"/>
        <v>8721.369999999999</v>
      </c>
      <c r="U31" s="10">
        <f t="shared" si="14"/>
        <v>12506.070000000003</v>
      </c>
      <c r="V31" s="10">
        <f t="shared" si="14"/>
        <v>9877.49</v>
      </c>
      <c r="W31" s="10">
        <f t="shared" si="14"/>
        <v>10265.770000000002</v>
      </c>
      <c r="X31" s="10">
        <f t="shared" si="14"/>
        <v>8797.2999999999993</v>
      </c>
      <c r="Y31" s="10">
        <f t="shared" si="14"/>
        <v>10185.66</v>
      </c>
      <c r="Z31" s="10">
        <f t="shared" ref="Z31:AA31" si="15">(Z14)-(Z30)</f>
        <v>10553.770000000002</v>
      </c>
      <c r="AA31" s="10">
        <f t="shared" si="15"/>
        <v>9705.8599999999988</v>
      </c>
      <c r="AB31" s="10">
        <f t="shared" ref="AB31:AC31" si="16">(AB14)-(AB30)</f>
        <v>10151.17</v>
      </c>
      <c r="AC31" s="10">
        <f t="shared" si="16"/>
        <v>8855.83</v>
      </c>
      <c r="AD31" s="10">
        <f t="shared" ref="AD31" si="17">(AD14)-(AD30)</f>
        <v>6940.9100000000017</v>
      </c>
      <c r="AE31" s="10">
        <f t="shared" ref="AE31:AF31" si="18">(AE14)-(AE30)</f>
        <v>12490.249999999998</v>
      </c>
      <c r="AF31" s="10">
        <f t="shared" si="18"/>
        <v>747.7300000000032</v>
      </c>
    </row>
    <row r="32" spans="1:32" x14ac:dyDescent="0.2">
      <c r="A32" s="3" t="s">
        <v>50</v>
      </c>
      <c r="B32" s="11">
        <f t="shared" ref="B32" si="19">(B31)+(0)</f>
        <v>11936.17</v>
      </c>
      <c r="C32" s="11">
        <f t="shared" ref="C32" si="20">(C31)+(0)</f>
        <v>8619.380000000001</v>
      </c>
      <c r="D32" s="11">
        <f t="shared" ref="D32" si="21">(D31)+(0)</f>
        <v>7172.8799999999992</v>
      </c>
      <c r="E32" s="11">
        <f t="shared" ref="E32" si="22">(E31)+(0)</f>
        <v>7089.7699999999977</v>
      </c>
      <c r="F32" s="11">
        <f t="shared" ref="F32" si="23">(F31)+(0)</f>
        <v>5871.380000000001</v>
      </c>
      <c r="G32" s="11">
        <f t="shared" ref="G32" si="24">(G31)+(0)</f>
        <v>9515.2499999999964</v>
      </c>
      <c r="H32" s="11">
        <f t="shared" ref="H32" si="25">(H31)+(0)</f>
        <v>8564.07</v>
      </c>
      <c r="I32" s="11">
        <f t="shared" ref="I32" si="26">(I31)+(0)</f>
        <v>10226.02</v>
      </c>
      <c r="J32" s="11">
        <f t="shared" ref="J32" si="27">(J31)+(0)</f>
        <v>9941.9299999999967</v>
      </c>
      <c r="K32" s="11">
        <f t="shared" ref="K32" si="28">(K31)+(0)</f>
        <v>10989.76</v>
      </c>
      <c r="L32" s="11">
        <f t="shared" ref="L32" si="29">(L31)+(0)</f>
        <v>10010.25</v>
      </c>
      <c r="M32" s="11">
        <f t="shared" ref="M32" si="30">(M31)+(0)</f>
        <v>4935.5499999999993</v>
      </c>
      <c r="N32" s="11">
        <f t="shared" ref="N32" si="31">(N31)+(0)</f>
        <v>7320.7199999999984</v>
      </c>
      <c r="O32" s="11">
        <f t="shared" ref="O32" si="32">(O31)+(0)</f>
        <v>11185.2</v>
      </c>
      <c r="P32" s="11">
        <f t="shared" ref="P32" si="33">(P31)+(0)</f>
        <v>9936.739999999998</v>
      </c>
      <c r="Q32" s="11">
        <f t="shared" ref="Q32" si="34">(Q31)+(0)</f>
        <v>9195.2400000000016</v>
      </c>
      <c r="R32" s="11">
        <f t="shared" ref="R32" si="35">(R31)+(0)</f>
        <v>7523.33</v>
      </c>
      <c r="S32" s="11">
        <f t="shared" ref="S32" si="36">(S31)+(0)</f>
        <v>8307.61</v>
      </c>
      <c r="T32" s="11">
        <f t="shared" ref="T32" si="37">(T31)+(0)</f>
        <v>8721.369999999999</v>
      </c>
      <c r="U32" s="11">
        <f t="shared" ref="U32" si="38">(U31)+(0)</f>
        <v>12506.070000000003</v>
      </c>
      <c r="V32" s="11">
        <f t="shared" ref="V32" si="39">(V31)+(0)</f>
        <v>9877.49</v>
      </c>
      <c r="W32" s="11">
        <f t="shared" ref="W32" si="40">(W31)+(0)</f>
        <v>10265.770000000002</v>
      </c>
      <c r="X32" s="11">
        <f t="shared" ref="X32" si="41">(X31)+(0)</f>
        <v>8797.2999999999993</v>
      </c>
      <c r="Y32" s="11">
        <f t="shared" ref="Y32:AA32" si="42">(Y31)+(0)</f>
        <v>10185.66</v>
      </c>
      <c r="Z32" s="11">
        <f t="shared" si="42"/>
        <v>10553.770000000002</v>
      </c>
      <c r="AA32" s="11">
        <f t="shared" si="42"/>
        <v>9705.8599999999988</v>
      </c>
      <c r="AB32" s="11">
        <f t="shared" ref="AB32:AC32" si="43">(AB31)+(0)</f>
        <v>10151.17</v>
      </c>
      <c r="AC32" s="11">
        <f t="shared" si="43"/>
        <v>8855.83</v>
      </c>
      <c r="AD32" s="11">
        <f t="shared" ref="AD32" si="44">(AD31)+(0)</f>
        <v>6940.9100000000017</v>
      </c>
      <c r="AE32" s="11">
        <f t="shared" ref="AE32:AF32" si="45">(AE31)+(0)</f>
        <v>12490.249999999998</v>
      </c>
      <c r="AF32" s="11">
        <f t="shared" si="45"/>
        <v>747.7300000000032</v>
      </c>
    </row>
    <row r="33" spans="1:25" x14ac:dyDescent="0.2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6" spans="1:25" x14ac:dyDescent="0.2">
      <c r="A36" s="13" t="s">
        <v>51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</row>
  </sheetData>
  <mergeCells count="4">
    <mergeCell ref="A36:Y36"/>
    <mergeCell ref="A1:Y1"/>
    <mergeCell ref="A2:Y2"/>
    <mergeCell ref="A3:Y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and Loss by Month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Bill Copper</cp:lastModifiedBy>
  <dcterms:created xsi:type="dcterms:W3CDTF">2025-01-03T19:09:21Z</dcterms:created>
  <dcterms:modified xsi:type="dcterms:W3CDTF">2025-08-14T20:01:35Z</dcterms:modified>
</cp:coreProperties>
</file>